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slide1.sharepoint.com/sites/finance3point1/Files/Communication/Blog/1. Articles/2. Articles en cours/English translation/"/>
    </mc:Choice>
  </mc:AlternateContent>
  <xr:revisionPtr revIDLastSave="38" documentId="8_{395BDE91-7C98-4F05-AB4A-FB53F434096C}" xr6:coauthVersionLast="47" xr6:coauthVersionMax="47" xr10:uidLastSave="{5B0B42E6-F042-4C86-8B37-0A4FACA4490F}"/>
  <bookViews>
    <workbookView xWindow="28690" yWindow="-110" windowWidth="29020" windowHeight="15700" xr2:uid="{2211B4D1-46F0-4EED-AE19-710C16C50B51}"/>
  </bookViews>
  <sheets>
    <sheet name="CoC" sheetId="1" r:id="rId1"/>
    <sheet name="UPSLIDE_UndoFormatting" sheetId="3" state="hidden" r:id="rId2"/>
    <sheet name="UPSLIDE_Undo" sheetId="2" state="hidden" r:id="rId3"/>
  </sheets>
  <definedNames>
    <definedName name="_UNDO_UPS_" hidden="1">CoC!$B$2</definedName>
    <definedName name="_UNDO_UPS_SEL_" hidden="1">CoC!$B$2</definedName>
    <definedName name="_UNDO31X31X_" hidden="1">CoC!$B$2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7" i="1"/>
  <c r="D9" i="1"/>
  <c r="D10" i="1"/>
  <c r="C8" i="1"/>
  <c r="D8" i="1" s="1"/>
  <c r="E4" i="1"/>
  <c r="F4" i="1" s="1"/>
  <c r="F10" i="1" s="1"/>
  <c r="C27" i="1"/>
  <c r="C28" i="1" s="1"/>
  <c r="E8" i="1" l="1"/>
  <c r="D32" i="1"/>
  <c r="F12" i="1"/>
  <c r="F28" i="1"/>
  <c r="F14" i="1"/>
  <c r="F8" i="1"/>
  <c r="E7" i="1"/>
  <c r="E19" i="1" s="1"/>
  <c r="E9" i="1"/>
  <c r="E21" i="1" s="1"/>
  <c r="E10" i="1"/>
  <c r="E12" i="1" s="1"/>
  <c r="F9" i="1"/>
  <c r="F21" i="1" s="1"/>
  <c r="F7" i="1"/>
  <c r="F19" i="1" s="1"/>
  <c r="G4" i="1"/>
  <c r="F27" i="1" l="1"/>
  <c r="E27" i="1"/>
  <c r="E29" i="1"/>
  <c r="E28" i="1"/>
  <c r="E14" i="1"/>
  <c r="E17" i="1" s="1"/>
  <c r="E24" i="1" s="1"/>
  <c r="G8" i="1"/>
  <c r="G10" i="1"/>
  <c r="G28" i="1" s="1"/>
  <c r="G7" i="1"/>
  <c r="G27" i="1" s="1"/>
  <c r="G9" i="1"/>
  <c r="G21" i="1" s="1"/>
  <c r="F17" i="1"/>
  <c r="F24" i="1" s="1"/>
  <c r="H4" i="1"/>
  <c r="E30" i="1" l="1"/>
  <c r="E31" i="1" s="1"/>
  <c r="G12" i="1"/>
  <c r="G14" i="1"/>
  <c r="H8" i="1"/>
  <c r="G19" i="1"/>
  <c r="H10" i="1"/>
  <c r="H28" i="1" s="1"/>
  <c r="H7" i="1"/>
  <c r="H27" i="1" s="1"/>
  <c r="H9" i="1"/>
  <c r="H21" i="1" s="1"/>
  <c r="I4" i="1"/>
  <c r="E35" i="1"/>
  <c r="E49" i="1" l="1"/>
  <c r="E50" i="1" s="1"/>
  <c r="E32" i="1"/>
  <c r="F29" i="1" s="1"/>
  <c r="F30" i="1" s="1"/>
  <c r="F31" i="1" s="1"/>
  <c r="F35" i="1" s="1"/>
  <c r="F37" i="1" s="1"/>
  <c r="G17" i="1"/>
  <c r="G24" i="1" s="1"/>
  <c r="E37" i="1"/>
  <c r="H19" i="1"/>
  <c r="I8" i="1"/>
  <c r="H14" i="1"/>
  <c r="H12" i="1"/>
  <c r="I10" i="1"/>
  <c r="I28" i="1" s="1"/>
  <c r="I9" i="1"/>
  <c r="I21" i="1" s="1"/>
  <c r="I7" i="1"/>
  <c r="I27" i="1" s="1"/>
  <c r="J4" i="1"/>
  <c r="H17" i="1" l="1"/>
  <c r="H24" i="1" s="1"/>
  <c r="F49" i="1"/>
  <c r="I12" i="1"/>
  <c r="F32" i="1"/>
  <c r="G29" i="1" s="1"/>
  <c r="G30" i="1" s="1"/>
  <c r="G31" i="1" s="1"/>
  <c r="J8" i="1"/>
  <c r="I19" i="1"/>
  <c r="I14" i="1"/>
  <c r="I17" i="1" s="1"/>
  <c r="I24" i="1" s="1"/>
  <c r="J9" i="1"/>
  <c r="J21" i="1" s="1"/>
  <c r="J10" i="1"/>
  <c r="J28" i="1" s="1"/>
  <c r="J7" i="1"/>
  <c r="J27" i="1" s="1"/>
  <c r="K4" i="1"/>
  <c r="F50" i="1" l="1"/>
  <c r="G35" i="1"/>
  <c r="G32" i="1"/>
  <c r="H29" i="1" s="1"/>
  <c r="H30" i="1" s="1"/>
  <c r="H31" i="1" s="1"/>
  <c r="K8" i="1"/>
  <c r="J12" i="1"/>
  <c r="J19" i="1"/>
  <c r="J14" i="1"/>
  <c r="K9" i="1"/>
  <c r="K21" i="1" s="1"/>
  <c r="K7" i="1"/>
  <c r="K27" i="1" s="1"/>
  <c r="K10" i="1"/>
  <c r="K28" i="1" s="1"/>
  <c r="L4" i="1"/>
  <c r="M4" i="1" s="1"/>
  <c r="G49" i="1" l="1"/>
  <c r="G50" i="1" s="1"/>
  <c r="M7" i="1"/>
  <c r="N4" i="1"/>
  <c r="M8" i="1"/>
  <c r="M10" i="1"/>
  <c r="M28" i="1" s="1"/>
  <c r="M9" i="1"/>
  <c r="M21" i="1" s="1"/>
  <c r="M14" i="1"/>
  <c r="K14" i="1"/>
  <c r="K12" i="1"/>
  <c r="K17" i="1" s="1"/>
  <c r="G37" i="1"/>
  <c r="J17" i="1"/>
  <c r="J24" i="1" s="1"/>
  <c r="H35" i="1"/>
  <c r="H37" i="1" s="1"/>
  <c r="L8" i="1"/>
  <c r="K19" i="1"/>
  <c r="L9" i="1"/>
  <c r="L21" i="1" s="1"/>
  <c r="L7" i="1"/>
  <c r="L27" i="1" s="1"/>
  <c r="L10" i="1"/>
  <c r="L28" i="1" s="1"/>
  <c r="N7" i="1" l="1"/>
  <c r="N10" i="1"/>
  <c r="N28" i="1" s="1"/>
  <c r="N9" i="1"/>
  <c r="N21" i="1" s="1"/>
  <c r="P21" i="1" s="1"/>
  <c r="N8" i="1"/>
  <c r="M19" i="1"/>
  <c r="M27" i="1"/>
  <c r="M12" i="1"/>
  <c r="M17" i="1" s="1"/>
  <c r="M24" i="1" s="1"/>
  <c r="K24" i="1"/>
  <c r="H49" i="1"/>
  <c r="L12" i="1"/>
  <c r="H32" i="1"/>
  <c r="I29" i="1" s="1"/>
  <c r="I30" i="1" s="1"/>
  <c r="I31" i="1" s="1"/>
  <c r="L14" i="1"/>
  <c r="L19" i="1"/>
  <c r="N19" i="1" l="1"/>
  <c r="N27" i="1"/>
  <c r="P27" i="1" s="1"/>
  <c r="N14" i="1"/>
  <c r="P14" i="1" s="1"/>
  <c r="P19" i="1"/>
  <c r="N12" i="1"/>
  <c r="N17" i="1" s="1"/>
  <c r="N24" i="1" s="1"/>
  <c r="P28" i="1"/>
  <c r="L17" i="1"/>
  <c r="L24" i="1" s="1"/>
  <c r="H50" i="1"/>
  <c r="I32" i="1"/>
  <c r="P24" i="1" l="1"/>
  <c r="P12" i="1"/>
  <c r="P17" i="1"/>
  <c r="I35" i="1"/>
  <c r="J29" i="1"/>
  <c r="J30" i="1" s="1"/>
  <c r="J31" i="1" s="1"/>
  <c r="P32" i="1"/>
  <c r="I49" i="1" l="1"/>
  <c r="I50" i="1" s="1"/>
  <c r="I37" i="1"/>
  <c r="J35" i="1"/>
  <c r="J37" i="1" s="1"/>
  <c r="J49" i="1" l="1"/>
  <c r="J32" i="1"/>
  <c r="K29" i="1" s="1"/>
  <c r="J50" i="1" l="1"/>
  <c r="K30" i="1"/>
  <c r="K31" i="1" s="1"/>
  <c r="K35" i="1" l="1"/>
  <c r="K32" i="1"/>
  <c r="L29" i="1" s="1"/>
  <c r="L30" i="1" s="1"/>
  <c r="L31" i="1" s="1"/>
  <c r="K37" i="1" l="1"/>
  <c r="K49" i="1"/>
  <c r="K50" i="1" l="1"/>
  <c r="L32" i="1"/>
  <c r="M29" i="1" l="1"/>
  <c r="L35" i="1"/>
  <c r="M30" i="1" l="1"/>
  <c r="L49" i="1"/>
  <c r="L37" i="1"/>
  <c r="L50" i="1" l="1"/>
  <c r="M31" i="1"/>
  <c r="M32" i="1"/>
  <c r="N29" i="1" l="1"/>
  <c r="M35" i="1"/>
  <c r="M37" i="1" l="1"/>
  <c r="M49" i="1"/>
  <c r="N30" i="1"/>
  <c r="P29" i="1"/>
  <c r="N31" i="1" l="1"/>
  <c r="P30" i="1"/>
  <c r="N32" i="1"/>
  <c r="M50" i="1"/>
  <c r="N35" i="1" l="1"/>
  <c r="P31" i="1"/>
  <c r="P33" i="1" s="1"/>
  <c r="P43" i="1" l="1"/>
  <c r="P41" i="1"/>
  <c r="N37" i="1"/>
  <c r="P37" i="1" s="1"/>
  <c r="N39" i="1" s="1"/>
  <c r="P35" i="1"/>
  <c r="N49" i="1"/>
  <c r="N50" i="1" s="1"/>
  <c r="P47" i="1" s="1"/>
  <c r="P39" i="1" l="1"/>
  <c r="E39" i="1"/>
  <c r="F39" i="1"/>
  <c r="K39" i="1"/>
  <c r="G39" i="1"/>
  <c r="J39" i="1"/>
  <c r="L39" i="1"/>
  <c r="I39" i="1"/>
  <c r="H39" i="1"/>
  <c r="M39" i="1"/>
</calcChain>
</file>

<file path=xl/sharedStrings.xml><?xml version="1.0" encoding="utf-8"?>
<sst xmlns="http://schemas.openxmlformats.org/spreadsheetml/2006/main" count="36" uniqueCount="36">
  <si>
    <t>Total</t>
  </si>
  <si>
    <t>Flags</t>
  </si>
  <si>
    <t>Période d'évènement</t>
  </si>
  <si>
    <t>Inflation</t>
  </si>
  <si>
    <t>NOI</t>
  </si>
  <si>
    <t>LTV</t>
  </si>
  <si>
    <t>Cash-on-cash</t>
  </si>
  <si>
    <t>Payback</t>
  </si>
  <si>
    <t xml:space="preserve">Acquisition flag </t>
  </si>
  <si>
    <t>Debt flag</t>
  </si>
  <si>
    <t>Resell Flag</t>
  </si>
  <si>
    <t>Holding flag</t>
  </si>
  <si>
    <t>Annual rent</t>
  </si>
  <si>
    <t>Rent index</t>
  </si>
  <si>
    <t>Non-recoverable charges</t>
  </si>
  <si>
    <t>Acquisition period</t>
  </si>
  <si>
    <t>Net selling price</t>
  </si>
  <si>
    <t>Sale period</t>
  </si>
  <si>
    <t>CF before financing</t>
  </si>
  <si>
    <t>Debt drawdown</t>
  </si>
  <si>
    <t>Annuity</t>
  </si>
  <si>
    <t>Financial expenses</t>
  </si>
  <si>
    <t>Repayment for the period</t>
  </si>
  <si>
    <t>Bullet repayment</t>
  </si>
  <si>
    <t>Debt at the end of the period</t>
  </si>
  <si>
    <t>CF after financing</t>
  </si>
  <si>
    <t>Cahs invested</t>
  </si>
  <si>
    <t>IRR</t>
  </si>
  <si>
    <t>NPV</t>
  </si>
  <si>
    <t>Discount rate</t>
  </si>
  <si>
    <t>Cumulative CF</t>
  </si>
  <si>
    <t>Repayment years</t>
  </si>
  <si>
    <t>(The calculation of payback is not relevant for this type of model because the repayment of the initial investment is tied to the resale event)</t>
  </si>
  <si>
    <t>Periods</t>
  </si>
  <si>
    <t>Acquisition Price AIC</t>
  </si>
  <si>
    <t>Real estate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</si>
</sst>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_);\(#,##0\);&quot;-&quot;_)"/>
    <numFmt numFmtId="165" formatCode="#,##0.0_);\(#,##0.0\);&quot;-&quot;_)"/>
    <numFmt numFmtId="166" formatCode="#,##0%_);\(#,##0%\);&quot;-&quot;_)"/>
    <numFmt numFmtId="167" formatCode="#,##0.0%_);\(#,##0.0%\);&quot;-&quot;_)"/>
    <numFmt numFmtId="168" formatCode="#,##0&quot; bps&quot;;\(#,##0\)&quot; bps&quot;;&quot;-&quot;"/>
    <numFmt numFmtId="169" formatCode="#,##0_)&quot;an(s)&quot;;\(#,##0\);&quot;-&quot;_)\ "/>
  </numFmts>
  <fonts count="9" x14ac:knownFonts="1">
    <font>
      <sz val="10"/>
      <color theme="1"/>
      <name val="Segoe UI Light"/>
      <family val="2"/>
    </font>
    <font>
      <sz val="8"/>
      <name val="Segoe UI Light"/>
      <family val="2"/>
    </font>
    <font>
      <sz val="10"/>
      <color rgb="FF2317BA"/>
      <name val="Segoe UI Semibold"/>
      <family val="2"/>
    </font>
    <font>
      <sz val="10"/>
      <color rgb="FFFFFFFF"/>
      <name val="Segoe UI Semibold"/>
      <family val="2"/>
    </font>
    <font>
      <i/>
      <sz val="10"/>
      <color theme="1"/>
      <name val="Segoe UI Light"/>
      <family val="2"/>
    </font>
    <font>
      <i/>
      <sz val="8"/>
      <color theme="1"/>
      <name val="Segoe UI Light"/>
      <family val="2"/>
    </font>
    <font>
      <sz val="16"/>
      <color theme="1"/>
      <name val="Segoe UI"/>
      <family val="2"/>
    </font>
    <font>
      <sz val="10"/>
      <color rgb="FF0239B9"/>
      <name val="Segoe UI Semibold"/>
      <family val="2"/>
    </font>
    <font>
      <sz val="16"/>
      <color rgb="FF2317BA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2317BA"/>
        <bgColor indexed="64"/>
      </patternFill>
    </fill>
    <fill>
      <patternFill patternType="solid">
        <fgColor rgb="FFCBDAF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2317BA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168" fontId="4" fillId="2" borderId="0" xfId="0" applyNumberFormat="1" applyFont="1" applyFill="1"/>
    <xf numFmtId="165" fontId="4" fillId="2" borderId="0" xfId="0" applyNumberFormat="1" applyFont="1" applyFill="1"/>
    <xf numFmtId="0" fontId="5" fillId="0" borderId="0" xfId="0" applyFont="1"/>
    <xf numFmtId="164" fontId="5" fillId="2" borderId="0" xfId="0" applyNumberFormat="1" applyFont="1" applyFill="1"/>
    <xf numFmtId="166" fontId="5" fillId="2" borderId="0" xfId="0" applyNumberFormat="1" applyFont="1" applyFill="1"/>
    <xf numFmtId="167" fontId="5" fillId="2" borderId="0" xfId="0" applyNumberFormat="1" applyFont="1" applyFill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69" fontId="2" fillId="0" borderId="0" xfId="0" applyNumberFormat="1" applyFont="1" applyAlignment="1">
      <alignment horizontal="right" vertical="center"/>
    </xf>
    <xf numFmtId="0" fontId="6" fillId="0" borderId="0" xfId="0" applyFont="1"/>
    <xf numFmtId="0" fontId="2" fillId="3" borderId="1" xfId="0" applyFont="1" applyFill="1" applyBorder="1" applyAlignment="1">
      <alignment horizontal="left" vertical="center" indent="1"/>
    </xf>
    <xf numFmtId="0" fontId="7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right" vertical="center"/>
    </xf>
    <xf numFmtId="167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left" vertical="center" indent="1"/>
    </xf>
    <xf numFmtId="169" fontId="7" fillId="4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4C849A9-304F-4CA0-AE7B-FA5EF5CFB3C2}"/>
  </tableStyles>
  <colors>
    <mruColors>
      <color rgb="FF231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C2DD-A593-4B71-972D-D1C187E78E23}">
  <dimension ref="B2:P51"/>
  <sheetViews>
    <sheetView showGridLines="0" tabSelected="1" zoomScale="115" zoomScaleNormal="115" workbookViewId="0">
      <pane xSplit="3" ySplit="5" topLeftCell="D19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1.453125" defaultRowHeight="16" x14ac:dyDescent="0.45"/>
  <cols>
    <col min="1" max="1" width="3.7265625" customWidth="1"/>
    <col min="2" max="2" width="23.54296875" customWidth="1"/>
    <col min="3" max="3" width="14.1796875" customWidth="1"/>
    <col min="4" max="8" width="10.54296875" customWidth="1"/>
    <col min="9" max="9" width="10.7265625" customWidth="1"/>
    <col min="10" max="11" width="10.54296875" customWidth="1"/>
    <col min="12" max="12" width="10.7265625" customWidth="1"/>
    <col min="13" max="13" width="10.54296875" customWidth="1"/>
    <col min="14" max="14" width="10.7265625" customWidth="1"/>
    <col min="15" max="15" width="1.81640625" customWidth="1"/>
  </cols>
  <sheetData>
    <row r="2" spans="2:16" ht="25" x14ac:dyDescent="0.7">
      <c r="B2" s="39" t="s">
        <v>35</v>
      </c>
    </row>
    <row r="4" spans="2:16" x14ac:dyDescent="0.45">
      <c r="B4" s="8" t="s">
        <v>33</v>
      </c>
      <c r="C4" s="7"/>
      <c r="D4" s="7">
        <v>0</v>
      </c>
      <c r="E4" s="7">
        <f>D4+1</f>
        <v>1</v>
      </c>
      <c r="F4" s="7">
        <f t="shared" ref="F4:L4" si="0">E4+1</f>
        <v>2</v>
      </c>
      <c r="G4" s="7">
        <f t="shared" si="0"/>
        <v>3</v>
      </c>
      <c r="H4" s="7">
        <f t="shared" si="0"/>
        <v>4</v>
      </c>
      <c r="I4" s="7">
        <f t="shared" si="0"/>
        <v>5</v>
      </c>
      <c r="J4" s="7">
        <f t="shared" si="0"/>
        <v>6</v>
      </c>
      <c r="K4" s="7">
        <f t="shared" si="0"/>
        <v>7</v>
      </c>
      <c r="L4" s="7">
        <f t="shared" si="0"/>
        <v>8</v>
      </c>
      <c r="M4" s="7">
        <f t="shared" ref="M4:N4" si="1">L4+1</f>
        <v>9</v>
      </c>
      <c r="N4" s="7">
        <f t="shared" si="1"/>
        <v>10</v>
      </c>
      <c r="P4" s="7" t="s">
        <v>0</v>
      </c>
    </row>
    <row r="5" spans="2:16" ht="11.15" customHeight="1" x14ac:dyDescent="0.45"/>
    <row r="6" spans="2:16" x14ac:dyDescent="0.45">
      <c r="B6" s="21" t="s">
        <v>1</v>
      </c>
      <c r="C6" s="25" t="s">
        <v>2</v>
      </c>
    </row>
    <row r="7" spans="2:16" x14ac:dyDescent="0.45">
      <c r="B7" s="21" t="s">
        <v>8</v>
      </c>
      <c r="C7" s="12">
        <v>1</v>
      </c>
      <c r="D7" s="11">
        <f t="shared" ref="D7:E9" si="2">(D$4=$C7)*1</f>
        <v>0</v>
      </c>
      <c r="E7" s="11">
        <f t="shared" si="2"/>
        <v>1</v>
      </c>
      <c r="F7" s="11">
        <f t="shared" ref="F7:N9" si="3">(F$4=$C7)*1</f>
        <v>0</v>
      </c>
      <c r="G7" s="11">
        <f t="shared" si="3"/>
        <v>0</v>
      </c>
      <c r="H7" s="11">
        <f t="shared" si="3"/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/>
      <c r="P7" s="11"/>
    </row>
    <row r="8" spans="2:16" x14ac:dyDescent="0.45">
      <c r="B8" s="21" t="s">
        <v>9</v>
      </c>
      <c r="C8" s="15">
        <f>C7-1</f>
        <v>0</v>
      </c>
      <c r="D8" s="11">
        <f t="shared" si="2"/>
        <v>1</v>
      </c>
      <c r="E8" s="11">
        <f t="shared" si="2"/>
        <v>0</v>
      </c>
      <c r="F8" s="11">
        <f t="shared" ref="F8:N8" si="4">(F$4=$C8)*1</f>
        <v>0</v>
      </c>
      <c r="G8" s="11">
        <f t="shared" si="4"/>
        <v>0</v>
      </c>
      <c r="H8" s="11">
        <f t="shared" si="4"/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/>
      <c r="P8" s="15"/>
    </row>
    <row r="9" spans="2:16" x14ac:dyDescent="0.45">
      <c r="B9" s="21" t="s">
        <v>10</v>
      </c>
      <c r="C9" s="12">
        <v>10</v>
      </c>
      <c r="D9" s="11">
        <f t="shared" si="2"/>
        <v>0</v>
      </c>
      <c r="E9" s="11">
        <f t="shared" si="2"/>
        <v>0</v>
      </c>
      <c r="F9" s="11">
        <f t="shared" si="3"/>
        <v>0</v>
      </c>
      <c r="G9" s="11">
        <f t="shared" si="3"/>
        <v>0</v>
      </c>
      <c r="H9" s="11">
        <f t="shared" si="3"/>
        <v>0</v>
      </c>
      <c r="I9" s="11">
        <f t="shared" si="3"/>
        <v>0</v>
      </c>
      <c r="J9" s="11">
        <f t="shared" si="3"/>
        <v>0</v>
      </c>
      <c r="K9" s="11">
        <f t="shared" si="3"/>
        <v>0</v>
      </c>
      <c r="L9" s="11">
        <f t="shared" si="3"/>
        <v>0</v>
      </c>
      <c r="M9" s="11">
        <f t="shared" si="3"/>
        <v>0</v>
      </c>
      <c r="N9" s="11">
        <f t="shared" si="3"/>
        <v>1</v>
      </c>
      <c r="O9" s="11"/>
      <c r="P9" s="11"/>
    </row>
    <row r="10" spans="2:16" x14ac:dyDescent="0.45">
      <c r="B10" s="21" t="s">
        <v>11</v>
      </c>
      <c r="C10" s="11"/>
      <c r="D10" s="11">
        <f t="shared" ref="D10:N10" si="5">AND(D$4&gt;=$C7,D$4&lt;=$C$9)*1</f>
        <v>0</v>
      </c>
      <c r="E10" s="11">
        <f t="shared" si="5"/>
        <v>1</v>
      </c>
      <c r="F10" s="11">
        <f t="shared" si="5"/>
        <v>1</v>
      </c>
      <c r="G10" s="11">
        <f t="shared" si="5"/>
        <v>1</v>
      </c>
      <c r="H10" s="11">
        <f t="shared" si="5"/>
        <v>1</v>
      </c>
      <c r="I10" s="11">
        <f t="shared" si="5"/>
        <v>1</v>
      </c>
      <c r="J10" s="11">
        <f t="shared" si="5"/>
        <v>1</v>
      </c>
      <c r="K10" s="11">
        <f t="shared" si="5"/>
        <v>1</v>
      </c>
      <c r="L10" s="11">
        <f t="shared" si="5"/>
        <v>1</v>
      </c>
      <c r="M10" s="11">
        <f t="shared" si="5"/>
        <v>1</v>
      </c>
      <c r="N10" s="11">
        <f t="shared" si="5"/>
        <v>1</v>
      </c>
      <c r="O10" s="11"/>
      <c r="P10" s="15"/>
    </row>
    <row r="11" spans="2:16" x14ac:dyDescent="0.45">
      <c r="B11" s="22"/>
    </row>
    <row r="12" spans="2:16" x14ac:dyDescent="0.45">
      <c r="B12" s="22" t="s">
        <v>12</v>
      </c>
      <c r="C12" s="2">
        <v>25000</v>
      </c>
      <c r="E12" s="1">
        <f>($C12*(1+$C13)^E$4)*E$10</f>
        <v>25374.999999999996</v>
      </c>
      <c r="F12" s="1">
        <f t="shared" ref="F12:L12" si="6">($C12*(1+$C13)^F$4)*F$10</f>
        <v>25755.624999999993</v>
      </c>
      <c r="G12" s="1">
        <f t="shared" si="6"/>
        <v>26141.959374999991</v>
      </c>
      <c r="H12" s="1">
        <f t="shared" si="6"/>
        <v>26534.088765624987</v>
      </c>
      <c r="I12" s="1">
        <f t="shared" si="6"/>
        <v>26932.100097109356</v>
      </c>
      <c r="J12" s="1">
        <f t="shared" si="6"/>
        <v>27336.081598565994</v>
      </c>
      <c r="K12" s="1">
        <f t="shared" si="6"/>
        <v>27746.122822544479</v>
      </c>
      <c r="L12" s="1">
        <f t="shared" si="6"/>
        <v>28162.314664882644</v>
      </c>
      <c r="M12" s="1">
        <f t="shared" ref="M12" si="7">($C12*(1+$C13)^M$4)*M$10</f>
        <v>28584.749384855877</v>
      </c>
      <c r="N12" s="1">
        <f t="shared" ref="N12" si="8">($C12*(1+$C13)^N$4)*N$10</f>
        <v>29013.520625628713</v>
      </c>
      <c r="P12" s="1">
        <f>SUM(D12:O12)</f>
        <v>271581.56233421201</v>
      </c>
    </row>
    <row r="13" spans="2:16" x14ac:dyDescent="0.45">
      <c r="B13" s="21" t="s">
        <v>13</v>
      </c>
      <c r="C13" s="14">
        <v>1.4999999999999999E-2</v>
      </c>
    </row>
    <row r="14" spans="2:16" x14ac:dyDescent="0.45">
      <c r="B14" s="22" t="s">
        <v>14</v>
      </c>
      <c r="C14" s="2">
        <v>-2500</v>
      </c>
      <c r="E14" s="1">
        <f>($C14*(1+$C15)^E$4)*E$10</f>
        <v>-2525</v>
      </c>
      <c r="F14" s="1">
        <f t="shared" ref="F14" si="9">($C14*(1+$C15)^F$4)*F$10</f>
        <v>-2550.25</v>
      </c>
      <c r="G14" s="1">
        <f t="shared" ref="G14" si="10">($C14*(1+$C15)^G$4)*G$10</f>
        <v>-2575.7524999999996</v>
      </c>
      <c r="H14" s="1">
        <f t="shared" ref="H14" si="11">($C14*(1+$C15)^H$4)*H$10</f>
        <v>-2601.510025</v>
      </c>
      <c r="I14" s="1">
        <f t="shared" ref="I14" si="12">($C14*(1+$C15)^I$4)*I$10</f>
        <v>-2627.5251252499997</v>
      </c>
      <c r="J14" s="1">
        <f t="shared" ref="J14" si="13">($C14*(1+$C15)^J$4)*J$10</f>
        <v>-2653.8003765025005</v>
      </c>
      <c r="K14" s="1">
        <f t="shared" ref="K14" si="14">($C14*(1+$C15)^K$4)*K$10</f>
        <v>-2680.3383802675244</v>
      </c>
      <c r="L14" s="1">
        <f t="shared" ref="L14" si="15">($C14*(1+$C15)^L$4)*L$10</f>
        <v>-2707.1417640702007</v>
      </c>
      <c r="M14" s="1">
        <f t="shared" ref="M14" si="16">($C14*(1+$C15)^M$4)*M$10</f>
        <v>-2734.213181710903</v>
      </c>
      <c r="N14" s="1">
        <f t="shared" ref="N14" si="17">($C14*(1+$C15)^N$4)*N$10</f>
        <v>-2761.555313528012</v>
      </c>
      <c r="P14" s="1">
        <f>SUM(D14:O14)</f>
        <v>-26417.086666329145</v>
      </c>
    </row>
    <row r="15" spans="2:16" x14ac:dyDescent="0.45">
      <c r="B15" s="21" t="s">
        <v>3</v>
      </c>
      <c r="C15" s="14">
        <v>0.01</v>
      </c>
    </row>
    <row r="16" spans="2:16" ht="11.15" customHeight="1" x14ac:dyDescent="0.45"/>
    <row r="17" spans="2:16" x14ac:dyDescent="0.45">
      <c r="B17" s="4" t="s">
        <v>4</v>
      </c>
      <c r="C17" s="5"/>
      <c r="D17" s="5"/>
      <c r="E17" s="6">
        <f>SUM(E11:E16)</f>
        <v>22849.999999999996</v>
      </c>
      <c r="F17" s="6">
        <f t="shared" ref="F17:G17" si="18">SUM(F11:F16)</f>
        <v>23205.374999999993</v>
      </c>
      <c r="G17" s="6">
        <f t="shared" si="18"/>
        <v>23566.206874999993</v>
      </c>
      <c r="H17" s="6">
        <f t="shared" ref="H17" si="19">SUM(H11:H16)</f>
        <v>23932.578740624987</v>
      </c>
      <c r="I17" s="6">
        <f t="shared" ref="I17" si="20">SUM(I11:I16)</f>
        <v>24304.574971859358</v>
      </c>
      <c r="J17" s="6">
        <f t="shared" ref="J17" si="21">SUM(J11:J16)</f>
        <v>24682.281222063495</v>
      </c>
      <c r="K17" s="6">
        <f t="shared" ref="K17" si="22">SUM(K11:K16)</f>
        <v>25065.784442276956</v>
      </c>
      <c r="L17" s="6">
        <f t="shared" ref="L17" si="23">SUM(L11:L16)</f>
        <v>25455.172900812442</v>
      </c>
      <c r="M17" s="6">
        <f t="shared" ref="M17" si="24">SUM(M11:M16)</f>
        <v>25850.536203144973</v>
      </c>
      <c r="N17" s="6">
        <f t="shared" ref="N17" si="25">SUM(N11:N16)</f>
        <v>26251.9653121007</v>
      </c>
      <c r="P17" s="6">
        <f>SUM(D17:O17)</f>
        <v>245164.47566788289</v>
      </c>
    </row>
    <row r="19" spans="2:16" x14ac:dyDescent="0.45">
      <c r="B19" s="22" t="s">
        <v>34</v>
      </c>
      <c r="C19" s="2">
        <v>-1000000</v>
      </c>
      <c r="E19" s="1">
        <f>$C19*E$7</f>
        <v>-1000000</v>
      </c>
      <c r="F19" s="1">
        <f t="shared" ref="F19:N19" si="26">$C19*F$7</f>
        <v>0</v>
      </c>
      <c r="G19" s="1">
        <f t="shared" si="26"/>
        <v>0</v>
      </c>
      <c r="H19" s="1">
        <f t="shared" si="26"/>
        <v>0</v>
      </c>
      <c r="I19" s="1">
        <f t="shared" si="26"/>
        <v>0</v>
      </c>
      <c r="J19" s="1">
        <f t="shared" si="26"/>
        <v>0</v>
      </c>
      <c r="K19" s="1">
        <f t="shared" si="26"/>
        <v>0</v>
      </c>
      <c r="L19" s="1">
        <f t="shared" si="26"/>
        <v>0</v>
      </c>
      <c r="M19" s="1">
        <f t="shared" si="26"/>
        <v>0</v>
      </c>
      <c r="N19" s="1">
        <f t="shared" si="26"/>
        <v>0</v>
      </c>
      <c r="P19" s="1">
        <f>SUM(D19:O19)</f>
        <v>-1000000</v>
      </c>
    </row>
    <row r="20" spans="2:16" x14ac:dyDescent="0.45">
      <c r="B20" s="21" t="s">
        <v>15</v>
      </c>
    </row>
    <row r="21" spans="2:16" x14ac:dyDescent="0.45">
      <c r="B21" s="22" t="s">
        <v>16</v>
      </c>
      <c r="C21" s="2">
        <v>1100000</v>
      </c>
      <c r="E21" s="1">
        <f>$C21*E$9</f>
        <v>0</v>
      </c>
      <c r="F21" s="1">
        <f t="shared" ref="F21:N21" si="27">$C21*F$9</f>
        <v>0</v>
      </c>
      <c r="G21" s="1">
        <f t="shared" si="27"/>
        <v>0</v>
      </c>
      <c r="H21" s="1">
        <f t="shared" si="27"/>
        <v>0</v>
      </c>
      <c r="I21" s="1">
        <f t="shared" si="27"/>
        <v>0</v>
      </c>
      <c r="J21" s="1">
        <f t="shared" si="27"/>
        <v>0</v>
      </c>
      <c r="K21" s="1">
        <f t="shared" si="27"/>
        <v>0</v>
      </c>
      <c r="L21" s="1">
        <f t="shared" si="27"/>
        <v>0</v>
      </c>
      <c r="M21" s="1">
        <f t="shared" si="27"/>
        <v>0</v>
      </c>
      <c r="N21" s="1">
        <f t="shared" si="27"/>
        <v>1100000</v>
      </c>
      <c r="P21" s="1">
        <f>SUM(D21:O21)</f>
        <v>1100000</v>
      </c>
    </row>
    <row r="22" spans="2:16" x14ac:dyDescent="0.45">
      <c r="B22" s="21" t="s">
        <v>17</v>
      </c>
    </row>
    <row r="23" spans="2:16" ht="11.15" customHeight="1" x14ac:dyDescent="0.45"/>
    <row r="24" spans="2:16" x14ac:dyDescent="0.45">
      <c r="B24" s="4" t="s">
        <v>18</v>
      </c>
      <c r="C24" s="5"/>
      <c r="D24" s="5"/>
      <c r="E24" s="6">
        <f t="shared" ref="E24:N24" si="28">SUM(E17:E22)</f>
        <v>-977150</v>
      </c>
      <c r="F24" s="6">
        <f t="shared" si="28"/>
        <v>23205.374999999993</v>
      </c>
      <c r="G24" s="6">
        <f t="shared" si="28"/>
        <v>23566.206874999993</v>
      </c>
      <c r="H24" s="6">
        <f t="shared" si="28"/>
        <v>23932.578740624987</v>
      </c>
      <c r="I24" s="6">
        <f t="shared" si="28"/>
        <v>24304.574971859358</v>
      </c>
      <c r="J24" s="6">
        <f t="shared" si="28"/>
        <v>24682.281222063495</v>
      </c>
      <c r="K24" s="6">
        <f t="shared" si="28"/>
        <v>25065.784442276956</v>
      </c>
      <c r="L24" s="6">
        <f t="shared" si="28"/>
        <v>25455.172900812442</v>
      </c>
      <c r="M24" s="6">
        <f t="shared" si="28"/>
        <v>25850.536203144973</v>
      </c>
      <c r="N24" s="6">
        <f t="shared" si="28"/>
        <v>1126251.9653121007</v>
      </c>
      <c r="P24" s="6">
        <f>SUM(D24:O24)</f>
        <v>345164.47566788283</v>
      </c>
    </row>
    <row r="26" spans="2:16" x14ac:dyDescent="0.45">
      <c r="B26" s="22" t="s">
        <v>5</v>
      </c>
      <c r="C26" s="13">
        <v>0.75</v>
      </c>
    </row>
    <row r="27" spans="2:16" x14ac:dyDescent="0.45">
      <c r="B27" s="22" t="s">
        <v>19</v>
      </c>
      <c r="C27" s="1">
        <f>-C19*C26</f>
        <v>750000</v>
      </c>
      <c r="D27" s="1"/>
      <c r="E27" s="1">
        <f t="shared" ref="E27:L27" si="29">$C$27*E7</f>
        <v>750000</v>
      </c>
      <c r="F27" s="1">
        <f t="shared" si="29"/>
        <v>0</v>
      </c>
      <c r="G27" s="1">
        <f t="shared" si="29"/>
        <v>0</v>
      </c>
      <c r="H27" s="1">
        <f t="shared" si="29"/>
        <v>0</v>
      </c>
      <c r="I27" s="1">
        <f t="shared" si="29"/>
        <v>0</v>
      </c>
      <c r="J27" s="1">
        <f t="shared" si="29"/>
        <v>0</v>
      </c>
      <c r="K27" s="1">
        <f t="shared" si="29"/>
        <v>0</v>
      </c>
      <c r="L27" s="1">
        <f t="shared" si="29"/>
        <v>0</v>
      </c>
      <c r="M27" s="1">
        <f t="shared" ref="M27:N27" si="30">$C$27*M7</f>
        <v>0</v>
      </c>
      <c r="N27" s="1">
        <f t="shared" si="30"/>
        <v>0</v>
      </c>
      <c r="P27" s="1">
        <f>SUM(D27:O27)</f>
        <v>750000</v>
      </c>
    </row>
    <row r="28" spans="2:16" x14ac:dyDescent="0.45">
      <c r="B28" s="22" t="s">
        <v>20</v>
      </c>
      <c r="C28" s="2">
        <f>C27/C9</f>
        <v>75000</v>
      </c>
      <c r="E28" s="1">
        <f>-$C28*E$10</f>
        <v>-75000</v>
      </c>
      <c r="F28" s="1">
        <f t="shared" ref="F28:N28" si="31">-$C28*F$10</f>
        <v>-75000</v>
      </c>
      <c r="G28" s="1">
        <f t="shared" si="31"/>
        <v>-75000</v>
      </c>
      <c r="H28" s="1">
        <f t="shared" si="31"/>
        <v>-75000</v>
      </c>
      <c r="I28" s="1">
        <f t="shared" si="31"/>
        <v>-75000</v>
      </c>
      <c r="J28" s="1">
        <f t="shared" si="31"/>
        <v>-75000</v>
      </c>
      <c r="K28" s="1">
        <f t="shared" si="31"/>
        <v>-75000</v>
      </c>
      <c r="L28" s="1">
        <f t="shared" si="31"/>
        <v>-75000</v>
      </c>
      <c r="M28" s="1">
        <f t="shared" si="31"/>
        <v>-75000</v>
      </c>
      <c r="N28" s="1">
        <f t="shared" si="31"/>
        <v>-75000</v>
      </c>
      <c r="P28" s="1">
        <f>SUM(D28:O28)</f>
        <v>-750000</v>
      </c>
    </row>
    <row r="29" spans="2:16" x14ac:dyDescent="0.45">
      <c r="B29" s="21" t="s">
        <v>21</v>
      </c>
      <c r="C29" s="14">
        <v>0.02</v>
      </c>
      <c r="D29" s="11"/>
      <c r="E29" s="15">
        <f>-$C$29*D32</f>
        <v>-15000</v>
      </c>
      <c r="F29" s="15">
        <f t="shared" ref="F29:I29" si="32">-$C$29*E32</f>
        <v>-13800</v>
      </c>
      <c r="G29" s="15">
        <f t="shared" si="32"/>
        <v>-12576</v>
      </c>
      <c r="H29" s="15">
        <f t="shared" si="32"/>
        <v>-11327.52</v>
      </c>
      <c r="I29" s="15">
        <f t="shared" si="32"/>
        <v>-10054.070400000001</v>
      </c>
      <c r="J29" s="15">
        <f t="shared" ref="J29:L29" si="33">-$C$29*I32</f>
        <v>-8755.1518080000005</v>
      </c>
      <c r="K29" s="15">
        <f t="shared" si="33"/>
        <v>-7430.2548441600002</v>
      </c>
      <c r="L29" s="15">
        <f t="shared" si="33"/>
        <v>-6078.8599410431998</v>
      </c>
      <c r="M29" s="15">
        <f t="shared" ref="M29:N29" si="34">-$C$29*L32</f>
        <v>-4700.4371398640633</v>
      </c>
      <c r="N29" s="15">
        <f t="shared" si="34"/>
        <v>-3294.445882661345</v>
      </c>
      <c r="P29" s="15">
        <f>SUM(D29:O29)</f>
        <v>-93016.740015728603</v>
      </c>
    </row>
    <row r="30" spans="2:16" x14ac:dyDescent="0.45">
      <c r="B30" s="21" t="s">
        <v>22</v>
      </c>
      <c r="E30" s="15">
        <f>E28-E29</f>
        <v>-60000</v>
      </c>
      <c r="F30" s="15">
        <f t="shared" ref="F30:L30" si="35">F28-F29</f>
        <v>-61200</v>
      </c>
      <c r="G30" s="15">
        <f t="shared" si="35"/>
        <v>-62424</v>
      </c>
      <c r="H30" s="15">
        <f t="shared" si="35"/>
        <v>-63672.479999999996</v>
      </c>
      <c r="I30" s="15">
        <f t="shared" si="35"/>
        <v>-64945.929600000003</v>
      </c>
      <c r="J30" s="15">
        <f t="shared" si="35"/>
        <v>-66244.848192000005</v>
      </c>
      <c r="K30" s="15">
        <f t="shared" si="35"/>
        <v>-67569.745155840006</v>
      </c>
      <c r="L30" s="15">
        <f t="shared" si="35"/>
        <v>-68921.140058956807</v>
      </c>
      <c r="M30" s="15">
        <f t="shared" ref="M30" si="36">M28-M29</f>
        <v>-70299.562860135935</v>
      </c>
      <c r="N30" s="15">
        <f t="shared" ref="N30" si="37">N28-N29</f>
        <v>-71705.554117338659</v>
      </c>
      <c r="P30" s="15">
        <f>SUM(D30:O30)</f>
        <v>-656983.25998427137</v>
      </c>
    </row>
    <row r="31" spans="2:16" x14ac:dyDescent="0.45">
      <c r="B31" s="22" t="s">
        <v>23</v>
      </c>
      <c r="E31" s="1">
        <f t="shared" ref="E31:J31" si="38">-(E30+D32)*E9</f>
        <v>0</v>
      </c>
      <c r="F31" s="1">
        <f t="shared" si="38"/>
        <v>0</v>
      </c>
      <c r="G31" s="1">
        <f t="shared" si="38"/>
        <v>0</v>
      </c>
      <c r="H31" s="1">
        <f t="shared" si="38"/>
        <v>0</v>
      </c>
      <c r="I31" s="1">
        <f t="shared" si="38"/>
        <v>0</v>
      </c>
      <c r="J31" s="1">
        <f t="shared" si="38"/>
        <v>0</v>
      </c>
      <c r="K31" s="1">
        <f>-(K30+J32)*K9</f>
        <v>0</v>
      </c>
      <c r="L31" s="1">
        <f t="shared" ref="L31" si="39">-(L30+K32)*L9</f>
        <v>0</v>
      </c>
      <c r="M31" s="1">
        <f>-(M30+L32)*M9</f>
        <v>0</v>
      </c>
      <c r="N31" s="1">
        <f t="shared" ref="N31" si="40">-(N30+M32)*N9</f>
        <v>-93016.740015728588</v>
      </c>
      <c r="P31" s="1">
        <f>SUM(D31:O31)</f>
        <v>-93016.740015728588</v>
      </c>
    </row>
    <row r="32" spans="2:16" x14ac:dyDescent="0.45">
      <c r="B32" s="21" t="s">
        <v>24</v>
      </c>
      <c r="C32" s="11"/>
      <c r="D32" s="15">
        <f>IF(D8,$C$27,SUM(C32,D30:D31))</f>
        <v>750000</v>
      </c>
      <c r="E32" s="15">
        <f t="shared" ref="E32:L32" si="41">IF(E8,$C$27,SUM(D32,E30:E31))</f>
        <v>690000</v>
      </c>
      <c r="F32" s="15">
        <f t="shared" si="41"/>
        <v>628800</v>
      </c>
      <c r="G32" s="15">
        <f t="shared" si="41"/>
        <v>566376</v>
      </c>
      <c r="H32" s="15">
        <f t="shared" si="41"/>
        <v>502703.52</v>
      </c>
      <c r="I32" s="15">
        <f t="shared" si="41"/>
        <v>437757.59039999999</v>
      </c>
      <c r="J32" s="15">
        <f t="shared" si="41"/>
        <v>371512.74220799998</v>
      </c>
      <c r="K32" s="15">
        <f t="shared" si="41"/>
        <v>303942.99705215998</v>
      </c>
      <c r="L32" s="15">
        <f t="shared" si="41"/>
        <v>235021.85699320317</v>
      </c>
      <c r="M32" s="15">
        <f t="shared" ref="M32" si="42">IF(M8,$C$27,SUM(L32,M30:M31))</f>
        <v>164722.29413306725</v>
      </c>
      <c r="N32" s="15">
        <f t="shared" ref="N32" si="43">IF(N8,$C$27,SUM(M32,N30:N31))</f>
        <v>0</v>
      </c>
      <c r="P32" s="15">
        <f>I32</f>
        <v>437757.59039999999</v>
      </c>
    </row>
    <row r="33" spans="2:16" x14ac:dyDescent="0.45">
      <c r="E33" s="1"/>
      <c r="P33" s="16" t="str">
        <f>IF(-P27=SUM(P30:P31),"ok","nok")</f>
        <v>ok</v>
      </c>
    </row>
    <row r="34" spans="2:16" ht="11.15" customHeight="1" x14ac:dyDescent="0.45"/>
    <row r="35" spans="2:16" x14ac:dyDescent="0.45">
      <c r="B35" s="4" t="s">
        <v>25</v>
      </c>
      <c r="C35" s="5"/>
      <c r="D35" s="6">
        <f>SUM(D24,D27:D28,D31)</f>
        <v>0</v>
      </c>
      <c r="E35" s="6">
        <f>SUM(E24,E27:E28,E31)</f>
        <v>-302150</v>
      </c>
      <c r="F35" s="6">
        <f t="shared" ref="F35:I35" si="44">SUM(F24,F27:F28,F31)</f>
        <v>-51794.625000000007</v>
      </c>
      <c r="G35" s="6">
        <f t="shared" si="44"/>
        <v>-51433.793125000011</v>
      </c>
      <c r="H35" s="6">
        <f t="shared" si="44"/>
        <v>-51067.421259375013</v>
      </c>
      <c r="I35" s="6">
        <f t="shared" si="44"/>
        <v>-50695.425028140642</v>
      </c>
      <c r="J35" s="6">
        <f t="shared" ref="J35:L35" si="45">SUM(J24,J27:J28,J31)</f>
        <v>-50317.718777936505</v>
      </c>
      <c r="K35" s="6">
        <f t="shared" si="45"/>
        <v>-49934.215557723044</v>
      </c>
      <c r="L35" s="6">
        <f t="shared" si="45"/>
        <v>-49544.827099187562</v>
      </c>
      <c r="M35" s="6">
        <f t="shared" ref="M35:N35" si="46">SUM(M24,M27:M28,M31)</f>
        <v>-49149.463796855023</v>
      </c>
      <c r="N35" s="6">
        <f t="shared" si="46"/>
        <v>958235.22529637208</v>
      </c>
      <c r="P35" s="6">
        <f>SUM(D35:O35)</f>
        <v>252147.7356521542</v>
      </c>
    </row>
    <row r="37" spans="2:16" x14ac:dyDescent="0.45">
      <c r="B37" s="22" t="s">
        <v>26</v>
      </c>
      <c r="C37" s="1"/>
      <c r="D37" s="1"/>
      <c r="E37" s="1">
        <f>-MIN(0,E35)</f>
        <v>302150</v>
      </c>
      <c r="F37" s="1">
        <f t="shared" ref="F37:L37" si="47">-MIN(0,F35)</f>
        <v>51794.625000000007</v>
      </c>
      <c r="G37" s="1">
        <f t="shared" si="47"/>
        <v>51433.793125000011</v>
      </c>
      <c r="H37" s="1">
        <f t="shared" si="47"/>
        <v>51067.421259375013</v>
      </c>
      <c r="I37" s="1">
        <f t="shared" si="47"/>
        <v>50695.425028140642</v>
      </c>
      <c r="J37" s="1">
        <f t="shared" si="47"/>
        <v>50317.718777936505</v>
      </c>
      <c r="K37" s="1">
        <f t="shared" si="47"/>
        <v>49934.215557723044</v>
      </c>
      <c r="L37" s="1">
        <f t="shared" si="47"/>
        <v>49544.827099187562</v>
      </c>
      <c r="M37" s="1">
        <f t="shared" ref="M37:N37" si="48">-MIN(0,M35)</f>
        <v>49149.463796855023</v>
      </c>
      <c r="N37" s="1">
        <f t="shared" si="48"/>
        <v>0</v>
      </c>
      <c r="P37" s="1">
        <f>SUM(D37:O37)</f>
        <v>706087.48964421789</v>
      </c>
    </row>
    <row r="39" spans="2:16" x14ac:dyDescent="0.45">
      <c r="B39" s="29" t="s">
        <v>6</v>
      </c>
      <c r="C39" s="30"/>
      <c r="D39" s="32"/>
      <c r="E39" s="32">
        <f t="shared" ref="E39:N39" si="49">E35/$P$37</f>
        <v>-0.42792147493258492</v>
      </c>
      <c r="F39" s="32">
        <f t="shared" si="49"/>
        <v>-7.3354401203310077E-2</v>
      </c>
      <c r="G39" s="32">
        <f t="shared" si="49"/>
        <v>-7.2843371224317235E-2</v>
      </c>
      <c r="H39" s="32">
        <f t="shared" si="49"/>
        <v>-7.2324495205412537E-2</v>
      </c>
      <c r="I39" s="32">
        <f t="shared" si="49"/>
        <v>-7.1797653650095064E-2</v>
      </c>
      <c r="J39" s="32">
        <f t="shared" si="49"/>
        <v>-7.1262725251357323E-2</v>
      </c>
      <c r="K39" s="32">
        <f t="shared" si="49"/>
        <v>-7.0719586864347095E-2</v>
      </c>
      <c r="L39" s="32">
        <f t="shared" si="49"/>
        <v>-7.0168113478617386E-2</v>
      </c>
      <c r="M39" s="32">
        <f t="shared" si="49"/>
        <v>-6.960817818995825E-2</v>
      </c>
      <c r="N39" s="32">
        <f t="shared" si="49"/>
        <v>1.3571055136229733</v>
      </c>
      <c r="O39" s="30"/>
      <c r="P39" s="32">
        <f>P35/$P$37</f>
        <v>0.35710551362297321</v>
      </c>
    </row>
    <row r="41" spans="2:16" x14ac:dyDescent="0.45">
      <c r="B41" s="29" t="s">
        <v>27</v>
      </c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0"/>
      <c r="P41" s="32">
        <f>IRR(D35:N35)</f>
        <v>4.7174964824042487E-2</v>
      </c>
    </row>
    <row r="43" spans="2:16" x14ac:dyDescent="0.45">
      <c r="B43" s="29" t="s">
        <v>28</v>
      </c>
      <c r="C43" s="29"/>
      <c r="D43" s="3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0"/>
      <c r="P43" s="31">
        <f>NPV(C45,D35:O35)</f>
        <v>28309.658984604288</v>
      </c>
    </row>
    <row r="44" spans="2:16" ht="7.5" customHeight="1" x14ac:dyDescent="0.45">
      <c r="B44" s="35"/>
      <c r="C44" s="35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8"/>
      <c r="P44" s="37"/>
    </row>
    <row r="45" spans="2:16" x14ac:dyDescent="0.45">
      <c r="B45" s="25" t="s">
        <v>29</v>
      </c>
      <c r="C45" s="14">
        <v>0.04</v>
      </c>
    </row>
    <row r="46" spans="2:16" ht="7.5" customHeight="1" x14ac:dyDescent="0.45">
      <c r="B46" s="35"/>
      <c r="C46" s="35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8"/>
      <c r="P46" s="37"/>
    </row>
    <row r="47" spans="2:16" x14ac:dyDescent="0.45">
      <c r="B47" s="29" t="s">
        <v>7</v>
      </c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0"/>
      <c r="P47" s="34">
        <f>SUM(D50:O50)</f>
        <v>9</v>
      </c>
    </row>
    <row r="48" spans="2:16" ht="7.5" customHeight="1" x14ac:dyDescent="0.45">
      <c r="B48" s="35"/>
      <c r="C48" s="35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  <c r="P48" s="37"/>
    </row>
    <row r="49" spans="2:16" x14ac:dyDescent="0.45">
      <c r="B49" s="21" t="s">
        <v>30</v>
      </c>
      <c r="C49" s="11"/>
      <c r="D49" s="15"/>
      <c r="E49" s="15">
        <f>D49+E35</f>
        <v>-302150</v>
      </c>
      <c r="F49" s="15">
        <f t="shared" ref="F49:L49" si="50">E49+F35</f>
        <v>-353944.625</v>
      </c>
      <c r="G49" s="15">
        <f t="shared" si="50"/>
        <v>-405378.41812500003</v>
      </c>
      <c r="H49" s="15">
        <f t="shared" si="50"/>
        <v>-456445.83938437502</v>
      </c>
      <c r="I49" s="15">
        <f t="shared" si="50"/>
        <v>-507141.26441251568</v>
      </c>
      <c r="J49" s="15">
        <f t="shared" si="50"/>
        <v>-557458.98319045221</v>
      </c>
      <c r="K49" s="15">
        <f>J49+K35</f>
        <v>-607393.19874817529</v>
      </c>
      <c r="L49" s="15">
        <f t="shared" si="50"/>
        <v>-656938.02584736282</v>
      </c>
      <c r="M49" s="15">
        <f>L49+M35</f>
        <v>-706087.48964421789</v>
      </c>
      <c r="N49" s="15">
        <f t="shared" ref="N49" si="51">M49+N35</f>
        <v>252147.7356521542</v>
      </c>
      <c r="P49" s="15"/>
    </row>
    <row r="50" spans="2:16" x14ac:dyDescent="0.45">
      <c r="B50" s="21" t="s">
        <v>31</v>
      </c>
      <c r="E50" s="11">
        <f>IF(E49&lt;0,1,0)</f>
        <v>1</v>
      </c>
      <c r="F50" s="11">
        <f t="shared" ref="F50:L50" si="52">IF(F49&lt;0,1,0)</f>
        <v>1</v>
      </c>
      <c r="G50" s="11">
        <f t="shared" si="52"/>
        <v>1</v>
      </c>
      <c r="H50" s="11">
        <f t="shared" si="52"/>
        <v>1</v>
      </c>
      <c r="I50" s="11">
        <f t="shared" si="52"/>
        <v>1</v>
      </c>
      <c r="J50" s="11">
        <f t="shared" si="52"/>
        <v>1</v>
      </c>
      <c r="K50" s="11">
        <f t="shared" si="52"/>
        <v>1</v>
      </c>
      <c r="L50" s="11">
        <f t="shared" si="52"/>
        <v>1</v>
      </c>
      <c r="M50" s="11">
        <f t="shared" ref="M50" si="53">IF(M49&lt;0,1,0)</f>
        <v>1</v>
      </c>
      <c r="N50" s="11">
        <f t="shared" ref="N50" si="54">IF(N49&lt;0,1,0)</f>
        <v>0</v>
      </c>
    </row>
    <row r="51" spans="2:16" x14ac:dyDescent="0.45">
      <c r="B51" t="s">
        <v>32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059A-B40B-4866-A9D4-964A67B2D21B}">
  <dimension ref="A1:I14"/>
  <sheetViews>
    <sheetView workbookViewId="0">
      <selection activeCell="B2" sqref="B2"/>
    </sheetView>
  </sheetViews>
  <sheetFormatPr baseColWidth="10" defaultColWidth="11.453125" defaultRowHeight="16" x14ac:dyDescent="0.45"/>
  <cols>
    <col min="2" max="2" width="23.54296875" customWidth="1"/>
    <col min="3" max="3" width="14.1796875" customWidth="1"/>
    <col min="4" max="5" width="10.54296875" customWidth="1"/>
    <col min="10" max="10" width="14.1796875" customWidth="1"/>
  </cols>
  <sheetData>
    <row r="1" spans="1:9" x14ac:dyDescent="0.45">
      <c r="A1">
        <v>36</v>
      </c>
      <c r="B1">
        <v>10</v>
      </c>
    </row>
    <row r="2" spans="1:9" ht="25" x14ac:dyDescent="0.7">
      <c r="B2" s="27"/>
    </row>
    <row r="9" spans="1:9" x14ac:dyDescent="0.45">
      <c r="E9" s="1"/>
      <c r="F9" s="1"/>
      <c r="G9" s="1"/>
      <c r="H9" s="1"/>
      <c r="I9" s="1"/>
    </row>
    <row r="12" spans="1:9" x14ac:dyDescent="0.45">
      <c r="C12" s="9"/>
    </row>
    <row r="14" spans="1:9" x14ac:dyDescent="0.45">
      <c r="C1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7CC2-0D1A-4E67-800C-BD15D36A9DCD}">
  <dimension ref="A1:N45"/>
  <sheetViews>
    <sheetView workbookViewId="0">
      <selection activeCell="B2" sqref="B2"/>
    </sheetView>
  </sheetViews>
  <sheetFormatPr baseColWidth="10" defaultColWidth="11.453125" defaultRowHeight="16" x14ac:dyDescent="0.45"/>
  <cols>
    <col min="2" max="2" width="23.54296875" customWidth="1"/>
    <col min="3" max="3" width="14.1796875" customWidth="1"/>
    <col min="4" max="8" width="10.54296875" customWidth="1"/>
    <col min="9" max="9" width="10.7265625" customWidth="1"/>
    <col min="10" max="11" width="10.54296875" customWidth="1"/>
    <col min="12" max="12" width="10.7265625" customWidth="1"/>
    <col min="13" max="13" width="1.81640625" customWidth="1"/>
  </cols>
  <sheetData>
    <row r="1" spans="1:9" x14ac:dyDescent="0.45">
      <c r="A1">
        <v>45</v>
      </c>
      <c r="B1">
        <v>14</v>
      </c>
    </row>
    <row r="2" spans="1:9" x14ac:dyDescent="0.45">
      <c r="B2" s="28"/>
    </row>
    <row r="9" spans="1:9" x14ac:dyDescent="0.45">
      <c r="E9" s="1"/>
      <c r="F9" s="1"/>
      <c r="G9" s="1"/>
      <c r="H9" s="1"/>
      <c r="I9" s="1"/>
    </row>
    <row r="12" spans="1:9" x14ac:dyDescent="0.45">
      <c r="C12" s="9"/>
      <c r="I12" s="3"/>
    </row>
    <row r="14" spans="1:9" x14ac:dyDescent="0.45">
      <c r="C14" s="9"/>
    </row>
    <row r="18" spans="3:3" x14ac:dyDescent="0.45">
      <c r="C18" s="10"/>
    </row>
    <row r="36" spans="2:14" x14ac:dyDescent="0.45">
      <c r="E36" s="18"/>
      <c r="F36" s="18"/>
      <c r="G36" s="18"/>
      <c r="H36" s="18"/>
      <c r="I36" s="18"/>
      <c r="J36" s="18"/>
      <c r="K36" s="18"/>
      <c r="L36" s="18"/>
      <c r="N36" s="18"/>
    </row>
    <row r="38" spans="2:14" x14ac:dyDescent="0.45">
      <c r="N38" s="19"/>
    </row>
    <row r="41" spans="2:14" x14ac:dyDescent="0.45">
      <c r="B41" s="23"/>
      <c r="C41" s="24"/>
      <c r="D41" s="17"/>
      <c r="E41" s="17"/>
      <c r="F41" s="17"/>
      <c r="G41" s="17"/>
      <c r="H41" s="17"/>
      <c r="I41" s="17"/>
      <c r="J41" s="17"/>
      <c r="K41" s="17"/>
      <c r="L41" s="17"/>
      <c r="N41" s="20"/>
    </row>
    <row r="43" spans="2:14" x14ac:dyDescent="0.45">
      <c r="B43" s="23"/>
      <c r="D43" s="17"/>
      <c r="E43" s="17"/>
      <c r="F43" s="17"/>
      <c r="G43" s="17"/>
      <c r="H43" s="17"/>
      <c r="I43" s="17"/>
      <c r="J43" s="17"/>
      <c r="K43" s="17"/>
      <c r="L43" s="17"/>
      <c r="N43" s="17"/>
    </row>
    <row r="45" spans="2:14" x14ac:dyDescent="0.45">
      <c r="B45" s="23"/>
      <c r="C45" s="24"/>
      <c r="D45" s="17"/>
      <c r="E45" s="17"/>
      <c r="F45" s="17"/>
      <c r="G45" s="17"/>
      <c r="H45" s="17"/>
      <c r="I45" s="17"/>
      <c r="J45" s="17"/>
      <c r="K45" s="17"/>
      <c r="L45" s="17"/>
      <c r="N45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C12EA2C56CF4B9293325C2E2A9002" ma:contentTypeVersion="19" ma:contentTypeDescription="Create a new document." ma:contentTypeScope="" ma:versionID="09238fc54c6839ca67beaf5cfdf83d56">
  <xsd:schema xmlns:xsd="http://www.w3.org/2001/XMLSchema" xmlns:xs="http://www.w3.org/2001/XMLSchema" xmlns:p="http://schemas.microsoft.com/office/2006/metadata/properties" xmlns:ns2="0253b956-ccb2-4a55-9ccb-aa83d16afa73" xmlns:ns3="2d830816-81a8-4c8c-b998-8e201d0be92e" targetNamespace="http://schemas.microsoft.com/office/2006/metadata/properties" ma:root="true" ma:fieldsID="b4931a27017dc84a391f26ae44d0c44e" ns2:_="" ns3:_="">
    <xsd:import namespace="0253b956-ccb2-4a55-9ccb-aa83d16afa73"/>
    <xsd:import namespace="2d830816-81a8-4c8c-b998-8e201d0be9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Country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3b956-ccb2-4a55-9ccb-aa83d16af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fa8fefb-ed0e-4221-9c26-4a6e70b36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untry" ma:index="25" nillable="true" ma:displayName="Country" ma:format="Dropdown" ma:internalName="Country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30816-81a8-4c8c-b998-8e201d0be9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697085-8457-4e2f-af50-c8bad604c7fb}" ma:internalName="TaxCatchAll" ma:showField="CatchAllData" ma:web="2d830816-81a8-4c8c-b998-8e201d0be9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ry xmlns="0253b956-ccb2-4a55-9ccb-aa83d16afa73" xsi:nil="true"/>
    <TaxCatchAll xmlns="2d830816-81a8-4c8c-b998-8e201d0be92e" xsi:nil="true"/>
    <lcf76f155ced4ddcb4097134ff3c332f xmlns="0253b956-ccb2-4a55-9ccb-aa83d16afa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9FC48D-0D64-4B12-AE92-AA11ABF69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3b956-ccb2-4a55-9ccb-aa83d16afa73"/>
    <ds:schemaRef ds:uri="2d830816-81a8-4c8c-b998-8e201d0be9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E709B8-C7A3-463B-9634-31EE62D5C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02DACA-CC1D-4208-A48C-BDF692157083}">
  <ds:schemaRefs>
    <ds:schemaRef ds:uri="http://schemas.microsoft.com/office/2006/metadata/properties"/>
    <ds:schemaRef ds:uri="http://schemas.microsoft.com/office/infopath/2007/PartnerControls"/>
    <ds:schemaRef ds:uri="0253b956-ccb2-4a55-9ccb-aa83d16afa73"/>
    <ds:schemaRef ds:uri="2d830816-81a8-4c8c-b998-8e201d0be9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CoC</vt:lpstr>
      <vt:lpstr>UPSLIDE_UndoFormatting</vt:lpstr>
      <vt:lpstr>UPSLIDE_Undo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Makarova</dc:creator>
  <cp:keywords/>
  <dc:description/>
  <cp:lastModifiedBy>Maria Makarova</cp:lastModifiedBy>
  <cp:revision/>
  <dcterms:created xsi:type="dcterms:W3CDTF">2023-03-21T13:29:29Z</dcterms:created>
  <dcterms:modified xsi:type="dcterms:W3CDTF">2024-09-12T19:22:40Z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0x010100792C12EA2C56CF4B9293325C2E2A9002</vt:lpwstr>
  </property>
  <property fmtid="{D5CDD505-2E9C-101B-9397-08002B2CF9AE}" pid="3" name="MediaServiceImageTags">
    <vt:lpwstr/>
  </property>
</Properties>
</file>